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ICT Strategic Consulting\Website 2016\2016\Downloads\Unprocessed\"/>
    </mc:Choice>
  </mc:AlternateContent>
  <bookViews>
    <workbookView xWindow="0" yWindow="0" windowWidth="18375" windowHeight="12765"/>
  </bookViews>
  <sheets>
    <sheet name="ICT &amp; Telco Valuations" sheetId="4" r:id="rId1"/>
  </sheets>
  <calcPr calcId="171027"/>
</workbook>
</file>

<file path=xl/calcChain.xml><?xml version="1.0" encoding="utf-8"?>
<calcChain xmlns="http://schemas.openxmlformats.org/spreadsheetml/2006/main">
  <c r="G15" i="4" l="1"/>
  <c r="G14" i="4"/>
  <c r="H14" i="4" s="1"/>
  <c r="J14" i="4" s="1"/>
  <c r="G13" i="4"/>
  <c r="G12" i="4"/>
  <c r="H12" i="4" s="1"/>
  <c r="P12" i="4" s="1"/>
  <c r="G11" i="4"/>
  <c r="G10" i="4"/>
  <c r="H10" i="4" s="1"/>
  <c r="G9" i="4"/>
  <c r="G8" i="4"/>
  <c r="H8" i="4" s="1"/>
  <c r="P8" i="4" s="1"/>
  <c r="R8" i="4" s="1"/>
  <c r="G7" i="4"/>
  <c r="G6" i="4"/>
  <c r="H6" i="4" s="1"/>
  <c r="P6" i="4" s="1"/>
  <c r="R6" i="4" s="1"/>
  <c r="G5" i="4"/>
  <c r="G4" i="4"/>
  <c r="H4" i="4" s="1"/>
  <c r="P4" i="4" s="1"/>
  <c r="R4" i="4" s="1"/>
  <c r="C22" i="4"/>
  <c r="E22" i="4"/>
  <c r="M14" i="4"/>
  <c r="H5" i="4"/>
  <c r="H7" i="4"/>
  <c r="P7" i="4" s="1"/>
  <c r="R7" i="4" s="1"/>
  <c r="H9" i="4"/>
  <c r="P9" i="4" s="1"/>
  <c r="R9" i="4" s="1"/>
  <c r="H11" i="4"/>
  <c r="P11" i="4" s="1"/>
  <c r="R11" i="4" s="1"/>
  <c r="H15" i="4"/>
  <c r="N15" i="4" s="1"/>
  <c r="I20" i="4"/>
  <c r="P20" i="4"/>
  <c r="L20" i="4"/>
  <c r="R20" i="4"/>
  <c r="K21" i="4"/>
  <c r="M21" i="4" s="1"/>
  <c r="P21" i="4" s="1"/>
  <c r="I22" i="4"/>
  <c r="K22" i="4"/>
  <c r="M22" i="4" s="1"/>
  <c r="J23" i="4"/>
  <c r="L23" i="4"/>
  <c r="M23" i="4"/>
  <c r="N23" i="4" s="1"/>
  <c r="Q23" i="4"/>
  <c r="R23" i="4"/>
  <c r="K24" i="4"/>
  <c r="P24" i="4" s="1"/>
  <c r="J25" i="4"/>
  <c r="L25" i="4"/>
  <c r="M25" i="4"/>
  <c r="N25" i="4" s="1"/>
  <c r="Q25" i="4"/>
  <c r="R25" i="4"/>
  <c r="K26" i="4"/>
  <c r="P26" i="4" s="1"/>
  <c r="K27" i="4"/>
  <c r="P27" i="4" s="1"/>
  <c r="J28" i="4"/>
  <c r="K28" i="4"/>
  <c r="L28" i="4" s="1"/>
  <c r="Q28" i="4"/>
  <c r="H13" i="4" l="1"/>
  <c r="F22" i="4"/>
  <c r="M28" i="4"/>
  <c r="N28" i="4" s="1"/>
  <c r="M26" i="4"/>
  <c r="N26" i="4" s="1"/>
  <c r="J20" i="4"/>
  <c r="P10" i="4"/>
  <c r="R10" i="4" s="1"/>
  <c r="L10" i="4"/>
  <c r="N10" i="4"/>
  <c r="J10" i="4"/>
  <c r="J26" i="4"/>
  <c r="Q26" i="4"/>
  <c r="R12" i="4"/>
  <c r="Q12" i="4"/>
  <c r="P5" i="4"/>
  <c r="R5" i="4" s="1"/>
  <c r="L5" i="4"/>
  <c r="N5" i="4"/>
  <c r="J5" i="4"/>
  <c r="N22" i="4"/>
  <c r="P22" i="4" s="1"/>
  <c r="R22" i="4" s="1"/>
  <c r="Q20" i="4"/>
  <c r="J4" i="4"/>
  <c r="N4" i="4"/>
  <c r="J6" i="4"/>
  <c r="N6" i="4"/>
  <c r="J7" i="4"/>
  <c r="N7" i="4"/>
  <c r="J8" i="4"/>
  <c r="N8" i="4"/>
  <c r="J9" i="4"/>
  <c r="N9" i="4"/>
  <c r="J11" i="4"/>
  <c r="N11" i="4"/>
  <c r="J12" i="4"/>
  <c r="N12" i="4"/>
  <c r="L14" i="4"/>
  <c r="P14" i="4"/>
  <c r="Q14" i="4" s="1"/>
  <c r="L15" i="4"/>
  <c r="P15" i="4"/>
  <c r="Q15" i="4" s="1"/>
  <c r="L4" i="4"/>
  <c r="L6" i="4"/>
  <c r="L7" i="4"/>
  <c r="L8" i="4"/>
  <c r="L9" i="4"/>
  <c r="L11" i="4"/>
  <c r="L12" i="4"/>
  <c r="N14" i="4"/>
  <c r="J15" i="4"/>
  <c r="Q4" i="4"/>
  <c r="Q5" i="4"/>
  <c r="Q6" i="4"/>
  <c r="Q7" i="4"/>
  <c r="Q8" i="4"/>
  <c r="Q9" i="4"/>
  <c r="Q10" i="4"/>
  <c r="Q11" i="4"/>
  <c r="Q24" i="4"/>
  <c r="J24" i="4"/>
  <c r="R24" i="4"/>
  <c r="L22" i="4"/>
  <c r="J21" i="4"/>
  <c r="Q21" i="4"/>
  <c r="L21" i="4"/>
  <c r="R21" i="4"/>
  <c r="Q27" i="4"/>
  <c r="J27" i="4"/>
  <c r="R27" i="4"/>
  <c r="R28" i="4"/>
  <c r="M27" i="4"/>
  <c r="N27" i="4" s="1"/>
  <c r="R26" i="4"/>
  <c r="M24" i="4"/>
  <c r="N24" i="4" s="1"/>
  <c r="N13" i="4" l="1"/>
  <c r="P13" i="4"/>
  <c r="R13" i="4" s="1"/>
  <c r="J13" i="4"/>
  <c r="L13" i="4"/>
  <c r="J22" i="4"/>
  <c r="Q22" i="4"/>
  <c r="R14" i="4"/>
  <c r="R15" i="4"/>
  <c r="Q13" i="4" l="1"/>
</calcChain>
</file>

<file path=xl/sharedStrings.xml><?xml version="1.0" encoding="utf-8"?>
<sst xmlns="http://schemas.openxmlformats.org/spreadsheetml/2006/main" count="103" uniqueCount="76">
  <si>
    <t>ComputerCorp</t>
  </si>
  <si>
    <t>CZP</t>
  </si>
  <si>
    <t>P/E</t>
  </si>
  <si>
    <t>Revenue</t>
  </si>
  <si>
    <t>EBIT</t>
  </si>
  <si>
    <t>NPAT</t>
  </si>
  <si>
    <t>Shares</t>
  </si>
  <si>
    <t>Oakton</t>
  </si>
  <si>
    <t>OKN</t>
  </si>
  <si>
    <t>$</t>
  </si>
  <si>
    <t>¢</t>
  </si>
  <si>
    <t>AMM</t>
  </si>
  <si>
    <t>Earn/sh</t>
  </si>
  <si>
    <t>Price</t>
  </si>
  <si>
    <t>Amcom Telecomm</t>
  </si>
  <si>
    <t>ASG Group</t>
  </si>
  <si>
    <t>$M</t>
  </si>
  <si>
    <t>ASZ</t>
  </si>
  <si>
    <t>CDR</t>
  </si>
  <si>
    <t>Commander Comms</t>
  </si>
  <si>
    <t>CUS</t>
  </si>
  <si>
    <t>Customers Ltd</t>
  </si>
  <si>
    <t>DTL</t>
  </si>
  <si>
    <t>Data#3</t>
  </si>
  <si>
    <t>HSN</t>
  </si>
  <si>
    <t>Hansen Technologies</t>
  </si>
  <si>
    <t>KLM</t>
  </si>
  <si>
    <t>KLM Group</t>
  </si>
  <si>
    <t>QMT</t>
  </si>
  <si>
    <t>QM Technologies</t>
  </si>
  <si>
    <t>SMS Mgt &amp; Technology</t>
  </si>
  <si>
    <t>SMX</t>
  </si>
  <si>
    <t>UXC</t>
  </si>
  <si>
    <t>UXC Ltd</t>
  </si>
  <si>
    <t>Acumen Alliance</t>
  </si>
  <si>
    <t>Dialog IT (incl BCI)</t>
  </si>
  <si>
    <t>Planit</t>
  </si>
  <si>
    <t>Professional Advantage</t>
  </si>
  <si>
    <t>Add</t>
  </si>
  <si>
    <t>Rev</t>
  </si>
  <si>
    <t>$M/$M</t>
  </si>
  <si>
    <t>Kaz</t>
  </si>
  <si>
    <t>AlphaWest</t>
  </si>
  <si>
    <t>AAPT</t>
  </si>
  <si>
    <t>Supply Chain Consulting</t>
  </si>
  <si>
    <t>Ajilon + AeM Group (Adecco)</t>
  </si>
  <si>
    <t>Datacom NZ</t>
  </si>
  <si>
    <t>Datacom Australia</t>
  </si>
  <si>
    <t>AWA Tech Services</t>
  </si>
  <si>
    <t>ASX-Listed ICT/Telco</t>
  </si>
  <si>
    <t>Recent</t>
  </si>
  <si>
    <t>Div/Share</t>
  </si>
  <si>
    <t>Market Cap.</t>
  </si>
  <si>
    <t>M</t>
  </si>
  <si>
    <t>Mult.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</si>
  <si>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</si>
  <si>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</si>
  <si>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</si>
  <si>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</si>
  <si>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</si>
  <si>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</si>
  <si>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</si>
  <si>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</si>
  <si>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</si>
  <si>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-</t>
  </si>
  <si>
    <t>(Premium)</t>
  </si>
  <si>
    <t>Private - Unlisted ICT/Telco</t>
  </si>
  <si>
    <t>cf Telstra</t>
  </si>
  <si>
    <t>cf Optus</t>
  </si>
  <si>
    <t>cf Telecom NZ</t>
  </si>
  <si>
    <t>AA</t>
  </si>
  <si>
    <t>BB</t>
  </si>
  <si>
    <t>CC</t>
  </si>
  <si>
    <t>Subsidiaries Comparable</t>
  </si>
  <si>
    <t>Circa 2007 (estimates)</t>
  </si>
  <si>
    <t>Circa 2007 (sourced)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</si>
</sst>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* #,##0_-;\-* #,##0_-;_-* &quot;-&quot;??_-;_-@_-"/>
    <numFmt numFmtId="167" formatCode="_-* #,##0.0_-;\-* #,##0.0_-;_-* &quot;-&quot;?_-;_-@_-"/>
    <numFmt numFmtId="168" formatCode="_-&quot;$&quot;* #,##0.000_-;\-&quot;$&quot;* #,##0.000_-;_-&quot;$&quot;* &quot;-&quot;??_-;_-@_-"/>
    <numFmt numFmtId="169" formatCode="0.0"/>
    <numFmt numFmtId="170" formatCode="0.000"/>
    <numFmt numFmtId="171" formatCode="_-* #,##0.000_-;\-* #,##0.000_-;_-* &quot;-&quot;??_-;_-@_-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C0C0C0"/>
      <name val="Arial"/>
      <family val="2"/>
    </font>
    <font>
      <b/>
      <sz val="10"/>
      <color rgb="FFC0C0C0"/>
      <name val="Arial"/>
      <family val="2"/>
    </font>
    <font>
      <b/>
      <i/>
      <sz val="10"/>
      <color rgb="FFC0C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5F093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3" fontId="0" fillId="0" borderId="4" xfId="0" applyNumberFormat="1" applyBorder="1"/>
    <xf numFmtId="0" fontId="0" fillId="0" borderId="0" xfId="0" applyBorder="1"/>
    <xf numFmtId="0" fontId="0" fillId="0" borderId="8" xfId="0" applyBorder="1"/>
    <xf numFmtId="43" fontId="0" fillId="0" borderId="3" xfId="0" applyNumberFormat="1" applyBorder="1"/>
    <xf numFmtId="0" fontId="0" fillId="0" borderId="0" xfId="0" applyFill="1" applyBorder="1"/>
    <xf numFmtId="43" fontId="0" fillId="0" borderId="6" xfId="0" applyNumberFormat="1" applyBorder="1"/>
    <xf numFmtId="43" fontId="0" fillId="0" borderId="0" xfId="1" applyFont="1" applyFill="1" applyBorder="1"/>
    <xf numFmtId="164" fontId="0" fillId="0" borderId="0" xfId="2" applyNumberFormat="1" applyFont="1" applyFill="1" applyBorder="1"/>
    <xf numFmtId="43" fontId="0" fillId="0" borderId="0" xfId="0" applyNumberFormat="1" applyBorder="1"/>
    <xf numFmtId="0" fontId="0" fillId="0" borderId="7" xfId="0" applyBorder="1"/>
    <xf numFmtId="43" fontId="0" fillId="0" borderId="1" xfId="0" applyNumberFormat="1" applyBorder="1"/>
    <xf numFmtId="43" fontId="0" fillId="0" borderId="2" xfId="0" applyNumberFormat="1" applyBorder="1"/>
    <xf numFmtId="43" fontId="0" fillId="0" borderId="5" xfId="0" applyNumberFormat="1" applyBorder="1"/>
    <xf numFmtId="43" fontId="0" fillId="2" borderId="1" xfId="0" applyNumberFormat="1" applyFill="1" applyBorder="1"/>
    <xf numFmtId="43" fontId="0" fillId="2" borderId="3" xfId="0" applyNumberFormat="1" applyFill="1" applyBorder="1"/>
    <xf numFmtId="43" fontId="0" fillId="2" borderId="4" xfId="0" applyNumberFormat="1" applyFill="1" applyBorder="1"/>
    <xf numFmtId="43" fontId="0" fillId="2" borderId="9" xfId="0" applyNumberFormat="1" applyFill="1" applyBorder="1"/>
    <xf numFmtId="43" fontId="0" fillId="2" borderId="10" xfId="0" applyNumberFormat="1" applyFill="1" applyBorder="1"/>
    <xf numFmtId="165" fontId="0" fillId="0" borderId="0" xfId="0" applyNumberFormat="1" applyBorder="1"/>
    <xf numFmtId="43" fontId="0" fillId="0" borderId="8" xfId="0" applyNumberFormat="1" applyBorder="1"/>
    <xf numFmtId="165" fontId="0" fillId="3" borderId="8" xfId="0" applyNumberFormat="1" applyFill="1" applyBorder="1"/>
    <xf numFmtId="9" fontId="0" fillId="3" borderId="1" xfId="0" applyNumberFormat="1" applyFill="1" applyBorder="1"/>
    <xf numFmtId="9" fontId="0" fillId="3" borderId="3" xfId="0" applyNumberFormat="1" applyFill="1" applyBorder="1"/>
    <xf numFmtId="9" fontId="0" fillId="3" borderId="5" xfId="0" applyNumberFormat="1" applyFill="1" applyBorder="1"/>
    <xf numFmtId="165" fontId="0" fillId="3" borderId="0" xfId="0" applyNumberFormat="1" applyFill="1" applyBorder="1"/>
    <xf numFmtId="9" fontId="0" fillId="3" borderId="7" xfId="0" applyNumberFormat="1" applyFill="1" applyBorder="1"/>
    <xf numFmtId="43" fontId="5" fillId="0" borderId="4" xfId="1" applyFont="1" applyBorder="1" applyAlignment="1">
      <alignment horizontal="right"/>
    </xf>
    <xf numFmtId="43" fontId="5" fillId="0" borderId="6" xfId="1" applyFont="1" applyBorder="1" applyAlignment="1">
      <alignment horizontal="right"/>
    </xf>
    <xf numFmtId="0" fontId="6" fillId="0" borderId="0" xfId="0" applyFont="1" applyBorder="1"/>
    <xf numFmtId="166" fontId="6" fillId="0" borderId="0" xfId="1" applyNumberFormat="1" applyFont="1" applyBorder="1"/>
    <xf numFmtId="165" fontId="6" fillId="0" borderId="0" xfId="2" applyNumberFormat="1" applyFont="1" applyBorder="1"/>
    <xf numFmtId="2" fontId="0" fillId="3" borderId="4" xfId="0" applyNumberFormat="1" applyFill="1" applyBorder="1" applyAlignment="1">
      <alignment horizontal="right"/>
    </xf>
    <xf numFmtId="9" fontId="0" fillId="3" borderId="0" xfId="0" applyNumberFormat="1" applyFill="1" applyBorder="1"/>
    <xf numFmtId="0" fontId="0" fillId="0" borderId="3" xfId="0" applyFill="1" applyBorder="1"/>
    <xf numFmtId="167" fontId="0" fillId="0" borderId="0" xfId="0" applyNumberFormat="1" applyBorder="1"/>
    <xf numFmtId="0" fontId="0" fillId="3" borderId="2" xfId="0" applyFill="1" applyBorder="1"/>
    <xf numFmtId="0" fontId="0" fillId="3" borderId="4" xfId="0" applyFill="1" applyBorder="1"/>
    <xf numFmtId="165" fontId="1" fillId="0" borderId="4" xfId="2" applyNumberFormat="1" applyBorder="1"/>
    <xf numFmtId="164" fontId="1" fillId="0" borderId="3" xfId="2" applyNumberFormat="1" applyBorder="1"/>
    <xf numFmtId="43" fontId="1" fillId="0" borderId="4" xfId="1" applyBorder="1"/>
    <xf numFmtId="165" fontId="1" fillId="0" borderId="7" xfId="2" applyNumberFormat="1" applyBorder="1"/>
    <xf numFmtId="43" fontId="1" fillId="0" borderId="0" xfId="1" applyBorder="1"/>
    <xf numFmtId="165" fontId="1" fillId="0" borderId="0" xfId="2" applyNumberFormat="1" applyBorder="1"/>
    <xf numFmtId="164" fontId="1" fillId="0" borderId="5" xfId="2" applyNumberFormat="1" applyBorder="1"/>
    <xf numFmtId="43" fontId="1" fillId="0" borderId="6" xfId="1" applyBorder="1"/>
    <xf numFmtId="165" fontId="1" fillId="0" borderId="8" xfId="2" applyNumberFormat="1" applyBorder="1"/>
    <xf numFmtId="164" fontId="1" fillId="0" borderId="1" xfId="2" applyNumberFormat="1" applyBorder="1"/>
    <xf numFmtId="164" fontId="1" fillId="0" borderId="7" xfId="2" applyNumberFormat="1" applyFont="1" applyFill="1" applyBorder="1"/>
    <xf numFmtId="164" fontId="1" fillId="0" borderId="3" xfId="2" applyNumberFormat="1" applyFont="1" applyFill="1" applyBorder="1"/>
    <xf numFmtId="164" fontId="1" fillId="0" borderId="0" xfId="2" applyNumberFormat="1" applyFont="1" applyFill="1" applyBorder="1"/>
    <xf numFmtId="43" fontId="1" fillId="3" borderId="4" xfId="1" applyFill="1" applyBorder="1"/>
    <xf numFmtId="164" fontId="1" fillId="0" borderId="5" xfId="2" applyNumberFormat="1" applyFont="1" applyFill="1" applyBorder="1"/>
    <xf numFmtId="43" fontId="1" fillId="0" borderId="0" xfId="1" applyFill="1" applyBorder="1" applyAlignment="1">
      <alignment horizontal="center"/>
    </xf>
    <xf numFmtId="43" fontId="1" fillId="0" borderId="0" xfId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43" fontId="1" fillId="0" borderId="8" xfId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68" fontId="1" fillId="0" borderId="4" xfId="2" applyNumberFormat="1" applyBorder="1"/>
    <xf numFmtId="168" fontId="1" fillId="0" borderId="6" xfId="2" applyNumberFormat="1" applyBorder="1"/>
    <xf numFmtId="164" fontId="1" fillId="0" borderId="0" xfId="2" applyNumberFormat="1" applyBorder="1"/>
    <xf numFmtId="170" fontId="0" fillId="0" borderId="0" xfId="0" applyNumberFormat="1" applyBorder="1" applyAlignment="1">
      <alignment horizontal="center"/>
    </xf>
    <xf numFmtId="43" fontId="1" fillId="0" borderId="0" xfId="1" applyNumberFormat="1" applyBorder="1"/>
    <xf numFmtId="168" fontId="1" fillId="0" borderId="0" xfId="2" applyNumberFormat="1" applyBorder="1"/>
    <xf numFmtId="43" fontId="0" fillId="0" borderId="0" xfId="0" applyNumberFormat="1" applyFill="1" applyBorder="1"/>
    <xf numFmtId="9" fontId="0" fillId="0" borderId="0" xfId="0" applyNumberFormat="1" applyFill="1" applyBorder="1"/>
    <xf numFmtId="49" fontId="3" fillId="0" borderId="0" xfId="2" applyNumberFormat="1" applyFont="1" applyBorder="1" applyAlignment="1">
      <alignment horizontal="center"/>
    </xf>
    <xf numFmtId="9" fontId="5" fillId="3" borderId="3" xfId="0" applyNumberFormat="1" applyFont="1" applyFill="1" applyBorder="1"/>
    <xf numFmtId="165" fontId="5" fillId="0" borderId="0" xfId="2" applyNumberFormat="1" applyFont="1" applyBorder="1"/>
    <xf numFmtId="43" fontId="5" fillId="0" borderId="3" xfId="0" applyNumberFormat="1" applyFont="1" applyBorder="1"/>
    <xf numFmtId="43" fontId="5" fillId="0" borderId="4" xfId="0" applyNumberFormat="1" applyFont="1" applyBorder="1"/>
    <xf numFmtId="0" fontId="5" fillId="0" borderId="3" xfId="0" applyFont="1" applyBorder="1"/>
    <xf numFmtId="0" fontId="5" fillId="0" borderId="4" xfId="0" applyFont="1" applyBorder="1"/>
    <xf numFmtId="170" fontId="5" fillId="0" borderId="3" xfId="0" applyNumberFormat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8" fontId="5" fillId="0" borderId="4" xfId="2" applyNumberFormat="1" applyFont="1" applyBorder="1"/>
    <xf numFmtId="164" fontId="5" fillId="0" borderId="3" xfId="2" applyNumberFormat="1" applyFont="1" applyBorder="1"/>
    <xf numFmtId="43" fontId="5" fillId="0" borderId="4" xfId="1" applyFont="1" applyBorder="1"/>
    <xf numFmtId="165" fontId="1" fillId="0" borderId="2" xfId="2" applyNumberFormat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0" fillId="0" borderId="0" xfId="2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0" fontId="5" fillId="0" borderId="0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5" xfId="0" applyFont="1" applyBorder="1"/>
    <xf numFmtId="0" fontId="7" fillId="4" borderId="1" xfId="0" applyFont="1" applyFill="1" applyBorder="1"/>
    <xf numFmtId="0" fontId="7" fillId="4" borderId="2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7" fillId="4" borderId="7" xfId="0" applyFont="1" applyFill="1" applyBorder="1"/>
    <xf numFmtId="0" fontId="9" fillId="4" borderId="7" xfId="0" applyFont="1" applyFill="1" applyBorder="1" applyAlignment="1">
      <alignment horizontal="center"/>
    </xf>
    <xf numFmtId="0" fontId="7" fillId="4" borderId="3" xfId="0" applyFont="1" applyFill="1" applyBorder="1"/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7" fillId="4" borderId="5" xfId="0" applyFont="1" applyFill="1" applyBorder="1"/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70" fontId="7" fillId="4" borderId="7" xfId="0" applyNumberFormat="1" applyFont="1" applyFill="1" applyBorder="1" applyAlignment="1">
      <alignment horizontal="center"/>
    </xf>
    <xf numFmtId="43" fontId="7" fillId="4" borderId="7" xfId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43" fontId="7" fillId="4" borderId="7" xfId="1" applyNumberFormat="1" applyFont="1" applyFill="1" applyBorder="1"/>
    <xf numFmtId="168" fontId="7" fillId="4" borderId="7" xfId="2" applyNumberFormat="1" applyFont="1" applyFill="1" applyBorder="1"/>
    <xf numFmtId="0" fontId="7" fillId="4" borderId="0" xfId="0" applyFont="1" applyFill="1" applyBorder="1"/>
    <xf numFmtId="171" fontId="5" fillId="0" borderId="3" xfId="1" applyNumberFormat="1" applyFont="1" applyBorder="1"/>
    <xf numFmtId="171" fontId="0" fillId="0" borderId="3" xfId="1" applyNumberFormat="1" applyFont="1" applyBorder="1"/>
    <xf numFmtId="171" fontId="0" fillId="0" borderId="5" xfId="1" applyNumberFormat="1" applyFont="1" applyBorder="1"/>
    <xf numFmtId="171" fontId="0" fillId="0" borderId="0" xfId="1" applyNumberFormat="1" applyFont="1" applyBorder="1"/>
    <xf numFmtId="171" fontId="5" fillId="0" borderId="0" xfId="1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C0C0C0"/>
      <color rgb="FF5F09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Normal="100" zoomScalePageLayoutView="80" workbookViewId="0">
      <selection activeCell="G35" sqref="G35"/>
    </sheetView>
  </sheetViews>
  <sheetFormatPr defaultRowHeight="12.75" x14ac:dyDescent="0.2"/>
  <cols>
    <col min="1" max="1" width="5.7109375" customWidth="1"/>
    <col min="2" max="2" width="25.85546875" customWidth="1"/>
    <col min="3" max="3" width="8.85546875" customWidth="1"/>
    <col min="4" max="4" width="9" customWidth="1"/>
    <col min="5" max="5" width="7.7109375" customWidth="1"/>
    <col min="6" max="6" width="7.7109375" bestFit="1" customWidth="1"/>
    <col min="7" max="7" width="8.42578125" customWidth="1"/>
    <col min="8" max="8" width="11.28515625" customWidth="1"/>
    <col min="9" max="9" width="8.28515625" customWidth="1"/>
    <col min="10" max="13" width="7.42578125" customWidth="1"/>
    <col min="14" max="14" width="8.42578125" bestFit="1" customWidth="1"/>
    <col min="15" max="15" width="5.28515625" customWidth="1"/>
    <col min="16" max="16" width="14.5703125" customWidth="1"/>
    <col min="18" max="18" width="15" bestFit="1" customWidth="1"/>
  </cols>
  <sheetData>
    <row r="1" spans="1:18" x14ac:dyDescent="0.2">
      <c r="A1" s="102"/>
      <c r="B1" s="103"/>
      <c r="C1" s="104" t="s">
        <v>50</v>
      </c>
      <c r="D1" s="105">
        <v>2006</v>
      </c>
      <c r="E1" s="105">
        <v>2006</v>
      </c>
      <c r="F1" s="106">
        <v>2006</v>
      </c>
      <c r="G1" s="104"/>
      <c r="H1" s="106"/>
      <c r="I1" s="107"/>
      <c r="J1" s="107"/>
      <c r="K1" s="107"/>
      <c r="L1" s="107"/>
      <c r="M1" s="107"/>
      <c r="N1" s="107"/>
      <c r="O1" s="108" t="s">
        <v>65</v>
      </c>
      <c r="P1" s="107"/>
      <c r="Q1" s="107"/>
      <c r="R1" s="103"/>
    </row>
    <row r="2" spans="1:18" x14ac:dyDescent="0.2">
      <c r="A2" s="109"/>
      <c r="B2" s="110" t="s">
        <v>49</v>
      </c>
      <c r="C2" s="111" t="s">
        <v>13</v>
      </c>
      <c r="D2" s="112" t="s">
        <v>51</v>
      </c>
      <c r="E2" s="112" t="s">
        <v>12</v>
      </c>
      <c r="F2" s="110" t="s">
        <v>2</v>
      </c>
      <c r="G2" s="111" t="s">
        <v>6</v>
      </c>
      <c r="H2" s="110" t="s">
        <v>52</v>
      </c>
      <c r="I2" s="104" t="s">
        <v>3</v>
      </c>
      <c r="J2" s="106"/>
      <c r="K2" s="104" t="s">
        <v>4</v>
      </c>
      <c r="L2" s="106"/>
      <c r="M2" s="104" t="s">
        <v>5</v>
      </c>
      <c r="N2" s="107"/>
      <c r="O2" s="104" t="s">
        <v>38</v>
      </c>
      <c r="P2" s="113" t="s">
        <v>13</v>
      </c>
      <c r="Q2" s="104" t="s">
        <v>40</v>
      </c>
      <c r="R2" s="106" t="s">
        <v>40</v>
      </c>
    </row>
    <row r="3" spans="1:18" x14ac:dyDescent="0.2">
      <c r="A3" s="114"/>
      <c r="B3" s="115" t="s">
        <v>75</v>
      </c>
      <c r="C3" s="116" t="s">
        <v>9</v>
      </c>
      <c r="D3" s="117" t="s">
        <v>10</v>
      </c>
      <c r="E3" s="117" t="s">
        <v>10</v>
      </c>
      <c r="F3" s="115"/>
      <c r="G3" s="116" t="s">
        <v>53</v>
      </c>
      <c r="H3" s="115" t="s">
        <v>16</v>
      </c>
      <c r="I3" s="116" t="s">
        <v>16</v>
      </c>
      <c r="J3" s="115" t="s">
        <v>54</v>
      </c>
      <c r="K3" s="116" t="s">
        <v>16</v>
      </c>
      <c r="L3" s="115" t="s">
        <v>54</v>
      </c>
      <c r="M3" s="116" t="s">
        <v>16</v>
      </c>
      <c r="N3" s="115" t="s">
        <v>54</v>
      </c>
      <c r="O3" s="114"/>
      <c r="P3" s="115" t="s">
        <v>16</v>
      </c>
      <c r="Q3" s="116" t="s">
        <v>39</v>
      </c>
      <c r="R3" s="115" t="s">
        <v>4</v>
      </c>
    </row>
    <row r="4" spans="1:18" x14ac:dyDescent="0.2">
      <c r="A4" s="3" t="s">
        <v>24</v>
      </c>
      <c r="B4" s="4" t="s">
        <v>25</v>
      </c>
      <c r="C4" s="61">
        <v>0.23</v>
      </c>
      <c r="D4" s="59">
        <v>0</v>
      </c>
      <c r="E4" s="62">
        <v>0.5</v>
      </c>
      <c r="F4" s="63">
        <v>46</v>
      </c>
      <c r="G4" s="125">
        <f>82007462/1000000</f>
        <v>82.007462000000004</v>
      </c>
      <c r="H4" s="70">
        <f t="shared" ref="H4:H14" si="0">C4*G4</f>
        <v>18.861716260000001</v>
      </c>
      <c r="I4" s="45">
        <v>51.25</v>
      </c>
      <c r="J4" s="7">
        <f t="shared" ref="J4:J15" si="1">H4/(1*I4)</f>
        <v>0.36803348800000002</v>
      </c>
      <c r="K4" s="45">
        <v>0.33500000000000002</v>
      </c>
      <c r="L4" s="46">
        <f t="shared" ref="L4:L15" si="2">H4/(1*K4)</f>
        <v>56.303630626865676</v>
      </c>
      <c r="M4" s="45">
        <v>0.72399999999999998</v>
      </c>
      <c r="N4" s="46">
        <f t="shared" ref="N4:N15" si="3">H4/(1*M4)</f>
        <v>26.05209428176796</v>
      </c>
      <c r="O4" s="28">
        <v>0.3</v>
      </c>
      <c r="P4" s="47">
        <f t="shared" ref="P4:P15" si="4">(1+O4)*H4</f>
        <v>24.520231138000003</v>
      </c>
      <c r="Q4" s="20">
        <f t="shared" ref="Q4:Q15" si="5">P4/(1*I4)</f>
        <v>0.47844353440000009</v>
      </c>
      <c r="R4" s="18">
        <f t="shared" ref="R4:R15" si="6">P4/(1*K4)</f>
        <v>73.194719814925378</v>
      </c>
    </row>
    <row r="5" spans="1:18" x14ac:dyDescent="0.2">
      <c r="A5" s="3" t="s">
        <v>17</v>
      </c>
      <c r="B5" s="4" t="s">
        <v>15</v>
      </c>
      <c r="C5" s="61">
        <v>0.85</v>
      </c>
      <c r="D5" s="60">
        <v>3.2</v>
      </c>
      <c r="E5" s="62">
        <v>4.7</v>
      </c>
      <c r="F5" s="64">
        <v>18.100000000000001</v>
      </c>
      <c r="G5" s="125">
        <f>376517672/1000000</f>
        <v>376.517672</v>
      </c>
      <c r="H5" s="70">
        <f t="shared" si="0"/>
        <v>320.04002120000001</v>
      </c>
      <c r="I5" s="45">
        <v>59.3</v>
      </c>
      <c r="J5" s="7">
        <f t="shared" si="1"/>
        <v>5.396964944350759</v>
      </c>
      <c r="K5" s="45">
        <v>5.72</v>
      </c>
      <c r="L5" s="46">
        <f t="shared" si="2"/>
        <v>55.951052657342665</v>
      </c>
      <c r="M5" s="45">
        <v>5.1920000000000002</v>
      </c>
      <c r="N5" s="46">
        <f t="shared" si="3"/>
        <v>61.640990215716485</v>
      </c>
      <c r="O5" s="29">
        <v>0.3</v>
      </c>
      <c r="P5" s="49">
        <f t="shared" si="4"/>
        <v>416.05202756000006</v>
      </c>
      <c r="Q5" s="10">
        <f t="shared" si="5"/>
        <v>7.0160544276559875</v>
      </c>
      <c r="R5" s="7">
        <f t="shared" si="6"/>
        <v>72.73636845454547</v>
      </c>
    </row>
    <row r="6" spans="1:18" x14ac:dyDescent="0.2">
      <c r="A6" s="3" t="s">
        <v>8</v>
      </c>
      <c r="B6" s="4" t="s">
        <v>7</v>
      </c>
      <c r="C6" s="61">
        <v>4.1500000000000004</v>
      </c>
      <c r="D6" s="60">
        <v>16.75</v>
      </c>
      <c r="E6" s="62">
        <v>17.600000000000001</v>
      </c>
      <c r="F6" s="64">
        <v>23.6</v>
      </c>
      <c r="G6" s="125">
        <f>36871446/1000000</f>
        <v>36.871445999999999</v>
      </c>
      <c r="H6" s="70">
        <f t="shared" si="0"/>
        <v>153.01650090000001</v>
      </c>
      <c r="I6" s="45">
        <v>76.83</v>
      </c>
      <c r="J6" s="7">
        <f t="shared" si="1"/>
        <v>1.9916243771964079</v>
      </c>
      <c r="K6" s="45">
        <v>21.34</v>
      </c>
      <c r="L6" s="46">
        <f t="shared" si="2"/>
        <v>7.1704077272727282</v>
      </c>
      <c r="M6" s="45">
        <v>14.44</v>
      </c>
      <c r="N6" s="46">
        <f t="shared" si="3"/>
        <v>10.59671058864266</v>
      </c>
      <c r="O6" s="29">
        <v>0.3</v>
      </c>
      <c r="P6" s="49">
        <f t="shared" si="4"/>
        <v>198.92145117000001</v>
      </c>
      <c r="Q6" s="10">
        <f t="shared" si="5"/>
        <v>2.5891116903553302</v>
      </c>
      <c r="R6" s="7">
        <f t="shared" si="6"/>
        <v>9.321530045454546</v>
      </c>
    </row>
    <row r="7" spans="1:18" x14ac:dyDescent="0.2">
      <c r="A7" s="3" t="s">
        <v>31</v>
      </c>
      <c r="B7" s="4" t="s">
        <v>30</v>
      </c>
      <c r="C7" s="61">
        <v>3.9</v>
      </c>
      <c r="D7" s="59">
        <v>15</v>
      </c>
      <c r="E7" s="65">
        <v>18.8</v>
      </c>
      <c r="F7" s="64">
        <v>20.7</v>
      </c>
      <c r="G7" s="125">
        <f>62880000/1000000</f>
        <v>62.88</v>
      </c>
      <c r="H7" s="70">
        <f t="shared" si="0"/>
        <v>245.232</v>
      </c>
      <c r="I7" s="45">
        <v>128.36799999999999</v>
      </c>
      <c r="J7" s="7">
        <f t="shared" si="1"/>
        <v>1.9103826498815906</v>
      </c>
      <c r="K7" s="45">
        <v>16.795999999999999</v>
      </c>
      <c r="L7" s="46">
        <f t="shared" si="2"/>
        <v>14.600619195046439</v>
      </c>
      <c r="M7" s="45">
        <v>11.848000000000001</v>
      </c>
      <c r="N7" s="46">
        <f t="shared" si="3"/>
        <v>20.698176907494936</v>
      </c>
      <c r="O7" s="29">
        <v>0.3</v>
      </c>
      <c r="P7" s="49">
        <f t="shared" si="4"/>
        <v>318.80160000000001</v>
      </c>
      <c r="Q7" s="10">
        <f t="shared" si="5"/>
        <v>2.4834974448460678</v>
      </c>
      <c r="R7" s="7">
        <f t="shared" si="6"/>
        <v>18.980804953560373</v>
      </c>
    </row>
    <row r="8" spans="1:18" x14ac:dyDescent="0.2">
      <c r="A8" s="3" t="s">
        <v>18</v>
      </c>
      <c r="B8" s="4" t="s">
        <v>19</v>
      </c>
      <c r="C8" s="61">
        <v>1.9850000000000001</v>
      </c>
      <c r="D8" s="60">
        <v>4</v>
      </c>
      <c r="E8" s="62">
        <v>12.45</v>
      </c>
      <c r="F8" s="64">
        <v>15.9</v>
      </c>
      <c r="G8" s="125">
        <f>110753062/1000000</f>
        <v>110.753062</v>
      </c>
      <c r="H8" s="70">
        <f t="shared" si="0"/>
        <v>219.84482807000001</v>
      </c>
      <c r="I8" s="45">
        <v>789.8</v>
      </c>
      <c r="J8" s="7">
        <f t="shared" si="1"/>
        <v>0.27835506212965311</v>
      </c>
      <c r="K8" s="45">
        <v>31.2</v>
      </c>
      <c r="L8" s="46">
        <f t="shared" si="2"/>
        <v>7.04630859198718</v>
      </c>
      <c r="M8" s="45">
        <v>25.9</v>
      </c>
      <c r="N8" s="46">
        <f t="shared" si="3"/>
        <v>8.4882173000000005</v>
      </c>
      <c r="O8" s="29">
        <v>0.3</v>
      </c>
      <c r="P8" s="49">
        <f t="shared" si="4"/>
        <v>285.79827649100002</v>
      </c>
      <c r="Q8" s="21">
        <f t="shared" si="5"/>
        <v>0.36186158076854907</v>
      </c>
      <c r="R8" s="7">
        <f t="shared" si="6"/>
        <v>9.1602011695833347</v>
      </c>
    </row>
    <row r="9" spans="1:18" x14ac:dyDescent="0.2">
      <c r="A9" s="3" t="s">
        <v>32</v>
      </c>
      <c r="B9" s="4" t="s">
        <v>33</v>
      </c>
      <c r="C9" s="61">
        <v>1.4450000000000001</v>
      </c>
      <c r="D9" s="59">
        <v>6.5</v>
      </c>
      <c r="E9" s="65">
        <v>10</v>
      </c>
      <c r="F9" s="64">
        <v>14.4</v>
      </c>
      <c r="G9" s="125">
        <f>67277851/0.394/1000000</f>
        <v>170.75596700507614</v>
      </c>
      <c r="H9" s="70">
        <f t="shared" si="0"/>
        <v>246.74237232233503</v>
      </c>
      <c r="I9" s="45">
        <v>300.60000000000002</v>
      </c>
      <c r="J9" s="7">
        <f t="shared" si="1"/>
        <v>0.82083290859060221</v>
      </c>
      <c r="K9" s="45">
        <v>23.254999999999999</v>
      </c>
      <c r="L9" s="46">
        <f t="shared" si="2"/>
        <v>10.61029337012836</v>
      </c>
      <c r="M9" s="45">
        <v>16.600000000000001</v>
      </c>
      <c r="N9" s="46">
        <f t="shared" si="3"/>
        <v>14.863998332670784</v>
      </c>
      <c r="O9" s="29">
        <v>0.2</v>
      </c>
      <c r="P9" s="49">
        <f t="shared" si="4"/>
        <v>296.09084678680205</v>
      </c>
      <c r="Q9" s="23">
        <f t="shared" si="5"/>
        <v>0.98499949030872258</v>
      </c>
      <c r="R9" s="24">
        <f t="shared" si="6"/>
        <v>12.732352044154034</v>
      </c>
    </row>
    <row r="10" spans="1:18" x14ac:dyDescent="0.2">
      <c r="A10" s="3" t="s">
        <v>11</v>
      </c>
      <c r="B10" s="4" t="s">
        <v>14</v>
      </c>
      <c r="C10" s="61">
        <v>0.17499999999999999</v>
      </c>
      <c r="D10" s="60">
        <v>0.37</v>
      </c>
      <c r="E10" s="62">
        <v>1.29</v>
      </c>
      <c r="F10" s="64">
        <v>13.6</v>
      </c>
      <c r="G10" s="125">
        <f>208627902/1000000</f>
        <v>208.62790200000001</v>
      </c>
      <c r="H10" s="70">
        <f t="shared" si="0"/>
        <v>36.509882849999997</v>
      </c>
      <c r="I10" s="45">
        <v>31.5</v>
      </c>
      <c r="J10" s="7">
        <f t="shared" si="1"/>
        <v>1.1590438999999999</v>
      </c>
      <c r="K10" s="45">
        <v>6.5</v>
      </c>
      <c r="L10" s="46">
        <f t="shared" si="2"/>
        <v>5.6169050538461534</v>
      </c>
      <c r="M10" s="45">
        <v>4.8</v>
      </c>
      <c r="N10" s="46">
        <f t="shared" si="3"/>
        <v>7.6062255937499996</v>
      </c>
      <c r="O10" s="29">
        <v>0.2</v>
      </c>
      <c r="P10" s="49">
        <f t="shared" si="4"/>
        <v>43.811859419999998</v>
      </c>
      <c r="Q10" s="10">
        <f t="shared" si="5"/>
        <v>1.3908526799999998</v>
      </c>
      <c r="R10" s="22">
        <f t="shared" si="6"/>
        <v>6.7402860646153844</v>
      </c>
    </row>
    <row r="11" spans="1:18" x14ac:dyDescent="0.2">
      <c r="A11" s="3" t="s">
        <v>22</v>
      </c>
      <c r="B11" s="4" t="s">
        <v>23</v>
      </c>
      <c r="C11" s="61">
        <v>4.6900000000000004</v>
      </c>
      <c r="D11" s="59">
        <v>28</v>
      </c>
      <c r="E11" s="62">
        <v>36.880000000000003</v>
      </c>
      <c r="F11" s="64">
        <v>12.7</v>
      </c>
      <c r="G11" s="125">
        <f>59783000/1000000</f>
        <v>59.783000000000001</v>
      </c>
      <c r="H11" s="70">
        <f t="shared" si="0"/>
        <v>280.38227000000001</v>
      </c>
      <c r="I11" s="45">
        <v>239.6</v>
      </c>
      <c r="J11" s="7">
        <f t="shared" si="1"/>
        <v>1.1702098080133556</v>
      </c>
      <c r="K11" s="45">
        <v>8.4</v>
      </c>
      <c r="L11" s="46">
        <f t="shared" si="2"/>
        <v>33.378841666666666</v>
      </c>
      <c r="M11" s="45">
        <v>6.7</v>
      </c>
      <c r="N11" s="46">
        <f t="shared" si="3"/>
        <v>41.848100000000002</v>
      </c>
      <c r="O11" s="29">
        <v>0.2</v>
      </c>
      <c r="P11" s="49">
        <f t="shared" si="4"/>
        <v>336.45872400000002</v>
      </c>
      <c r="Q11" s="23">
        <f t="shared" si="5"/>
        <v>1.4042517696160268</v>
      </c>
      <c r="R11" s="24">
        <f t="shared" si="6"/>
        <v>40.054610000000004</v>
      </c>
    </row>
    <row r="12" spans="1:18" x14ac:dyDescent="0.2">
      <c r="A12" s="3" t="s">
        <v>28</v>
      </c>
      <c r="B12" s="4" t="s">
        <v>29</v>
      </c>
      <c r="C12" s="61">
        <v>2.85</v>
      </c>
      <c r="D12" s="59">
        <v>7.7</v>
      </c>
      <c r="E12" s="65">
        <v>23.5</v>
      </c>
      <c r="F12" s="64">
        <v>12.1</v>
      </c>
      <c r="G12" s="125">
        <f>15492196/1000000</f>
        <v>15.492196</v>
      </c>
      <c r="H12" s="70">
        <f t="shared" si="0"/>
        <v>44.152758599999999</v>
      </c>
      <c r="I12" s="45">
        <v>61.2</v>
      </c>
      <c r="J12" s="7">
        <f t="shared" si="1"/>
        <v>0.72145030392156861</v>
      </c>
      <c r="K12" s="45">
        <v>12.278</v>
      </c>
      <c r="L12" s="46">
        <f t="shared" si="2"/>
        <v>3.5960871966118257</v>
      </c>
      <c r="M12" s="45">
        <v>8.6679999999999993</v>
      </c>
      <c r="N12" s="46">
        <f t="shared" si="3"/>
        <v>5.0937654130133829</v>
      </c>
      <c r="O12" s="29">
        <v>0.15</v>
      </c>
      <c r="P12" s="49">
        <f t="shared" si="4"/>
        <v>50.775672389999997</v>
      </c>
      <c r="Q12" s="10">
        <f t="shared" si="5"/>
        <v>0.82966784950980388</v>
      </c>
      <c r="R12" s="22">
        <f t="shared" si="6"/>
        <v>4.1355002761035999</v>
      </c>
    </row>
    <row r="13" spans="1:18" x14ac:dyDescent="0.2">
      <c r="A13" s="3" t="s">
        <v>26</v>
      </c>
      <c r="B13" s="4" t="s">
        <v>27</v>
      </c>
      <c r="C13" s="61">
        <v>0.48</v>
      </c>
      <c r="D13" s="59">
        <v>2</v>
      </c>
      <c r="E13" s="65">
        <v>5.0199999999999996</v>
      </c>
      <c r="F13" s="64">
        <v>9.6</v>
      </c>
      <c r="G13" s="124">
        <f>1000000*(14+28+2.966249+73/5)/1000000</f>
        <v>59.566248999999999</v>
      </c>
      <c r="H13" s="70">
        <f t="shared" si="0"/>
        <v>28.591799519999999</v>
      </c>
      <c r="I13" s="45">
        <v>87.37</v>
      </c>
      <c r="J13" s="7">
        <f t="shared" si="1"/>
        <v>0.32724962252489409</v>
      </c>
      <c r="K13" s="45">
        <v>3.4</v>
      </c>
      <c r="L13" s="46">
        <f t="shared" si="2"/>
        <v>8.4093528000000006</v>
      </c>
      <c r="M13" s="45">
        <v>2.5009999999999999</v>
      </c>
      <c r="N13" s="46">
        <f t="shared" si="3"/>
        <v>11.432146949220312</v>
      </c>
      <c r="O13" s="29">
        <v>0.15</v>
      </c>
      <c r="P13" s="49">
        <f t="shared" si="4"/>
        <v>32.880569447999996</v>
      </c>
      <c r="Q13" s="23">
        <f t="shared" si="5"/>
        <v>0.3763370659036282</v>
      </c>
      <c r="R13" s="24">
        <f t="shared" si="6"/>
        <v>9.6707557199999989</v>
      </c>
    </row>
    <row r="14" spans="1:18" x14ac:dyDescent="0.2">
      <c r="A14" s="83" t="s">
        <v>1</v>
      </c>
      <c r="B14" s="84" t="s">
        <v>0</v>
      </c>
      <c r="C14" s="85">
        <v>0.25</v>
      </c>
      <c r="D14" s="86">
        <v>16.75</v>
      </c>
      <c r="E14" s="87">
        <v>-1.1499999999999999</v>
      </c>
      <c r="F14" s="88" t="s">
        <v>64</v>
      </c>
      <c r="G14" s="125">
        <f>140142288/1000000</f>
        <v>140.14228800000001</v>
      </c>
      <c r="H14" s="89">
        <f t="shared" si="0"/>
        <v>35.035572000000002</v>
      </c>
      <c r="I14" s="90">
        <v>120</v>
      </c>
      <c r="J14" s="82">
        <f t="shared" si="1"/>
        <v>0.29196310000000003</v>
      </c>
      <c r="K14" s="90">
        <v>3</v>
      </c>
      <c r="L14" s="91">
        <f t="shared" si="2"/>
        <v>11.678524000000001</v>
      </c>
      <c r="M14" s="90">
        <f>0.7*K14</f>
        <v>2.0999999999999996</v>
      </c>
      <c r="N14" s="91">
        <f t="shared" si="3"/>
        <v>16.683605714285719</v>
      </c>
      <c r="O14" s="79">
        <v>0.15</v>
      </c>
      <c r="P14" s="80">
        <f t="shared" si="4"/>
        <v>40.290907799999999</v>
      </c>
      <c r="Q14" s="81">
        <f t="shared" si="5"/>
        <v>0.33575756499999998</v>
      </c>
      <c r="R14" s="82">
        <f t="shared" si="6"/>
        <v>13.430302599999999</v>
      </c>
    </row>
    <row r="15" spans="1:18" x14ac:dyDescent="0.2">
      <c r="A15" s="5" t="s">
        <v>20</v>
      </c>
      <c r="B15" s="6" t="s">
        <v>21</v>
      </c>
      <c r="C15" s="66">
        <v>0.255</v>
      </c>
      <c r="D15" s="67">
        <v>0</v>
      </c>
      <c r="E15" s="68">
        <v>-0.23</v>
      </c>
      <c r="F15" s="69" t="s">
        <v>64</v>
      </c>
      <c r="G15" s="126">
        <f>(387486000+40000000)/1000000</f>
        <v>427.48599999999999</v>
      </c>
      <c r="H15" s="71">
        <f>G15*C15</f>
        <v>109.00892999999999</v>
      </c>
      <c r="I15" s="50">
        <v>28.5</v>
      </c>
      <c r="J15" s="12">
        <f t="shared" si="1"/>
        <v>3.824874736842105</v>
      </c>
      <c r="K15" s="50">
        <v>-1.1160000000000001</v>
      </c>
      <c r="L15" s="51">
        <f t="shared" si="2"/>
        <v>-97.678252688172023</v>
      </c>
      <c r="M15" s="50">
        <v>-0.91200000000000003</v>
      </c>
      <c r="N15" s="51">
        <f t="shared" si="3"/>
        <v>-119.52733552631578</v>
      </c>
      <c r="O15" s="30">
        <v>0.15</v>
      </c>
      <c r="P15" s="52">
        <f t="shared" si="4"/>
        <v>125.36026949999999</v>
      </c>
      <c r="Q15" s="19">
        <f t="shared" si="5"/>
        <v>4.3986059473684209</v>
      </c>
      <c r="R15" s="12">
        <f t="shared" si="6"/>
        <v>-112.32999059139783</v>
      </c>
    </row>
    <row r="16" spans="1:18" x14ac:dyDescent="0.2">
      <c r="A16" s="8"/>
      <c r="B16" s="8"/>
      <c r="C16" s="73"/>
      <c r="D16" s="60"/>
      <c r="E16" s="62"/>
      <c r="F16" s="62"/>
      <c r="G16" s="74"/>
      <c r="H16" s="75"/>
      <c r="I16" s="72"/>
      <c r="J16" s="15"/>
      <c r="K16" s="72"/>
      <c r="L16" s="48"/>
      <c r="M16" s="72"/>
      <c r="N16" s="48"/>
      <c r="O16" s="77"/>
      <c r="P16" s="49"/>
      <c r="Q16" s="15"/>
      <c r="R16" s="15"/>
    </row>
    <row r="17" spans="1:18" x14ac:dyDescent="0.2">
      <c r="A17" s="8"/>
      <c r="B17" s="8"/>
      <c r="C17" s="73"/>
      <c r="D17" s="60"/>
      <c r="E17" s="62"/>
      <c r="F17" s="62"/>
      <c r="G17" s="74"/>
      <c r="H17" s="75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1:18" x14ac:dyDescent="0.2">
      <c r="A18" s="102"/>
      <c r="B18" s="105" t="s">
        <v>66</v>
      </c>
      <c r="C18" s="118"/>
      <c r="D18" s="119"/>
      <c r="E18" s="120"/>
      <c r="F18" s="120"/>
      <c r="G18" s="121"/>
      <c r="H18" s="122"/>
      <c r="I18" s="104" t="s">
        <v>3</v>
      </c>
      <c r="J18" s="106"/>
      <c r="K18" s="104" t="s">
        <v>4</v>
      </c>
      <c r="L18" s="106"/>
      <c r="M18" s="104" t="s">
        <v>5</v>
      </c>
      <c r="N18" s="107"/>
      <c r="O18" s="104" t="s">
        <v>38</v>
      </c>
      <c r="P18" s="113" t="s">
        <v>13</v>
      </c>
      <c r="Q18" s="104" t="s">
        <v>40</v>
      </c>
      <c r="R18" s="106" t="s">
        <v>40</v>
      </c>
    </row>
    <row r="19" spans="1:18" x14ac:dyDescent="0.2">
      <c r="A19" s="109"/>
      <c r="B19" s="112" t="s">
        <v>74</v>
      </c>
      <c r="C19" s="123"/>
      <c r="D19" s="123"/>
      <c r="E19" s="123"/>
      <c r="F19" s="123"/>
      <c r="G19" s="123"/>
      <c r="H19" s="123"/>
      <c r="I19" s="116" t="s">
        <v>16</v>
      </c>
      <c r="J19" s="115" t="s">
        <v>54</v>
      </c>
      <c r="K19" s="116" t="s">
        <v>16</v>
      </c>
      <c r="L19" s="115" t="s">
        <v>54</v>
      </c>
      <c r="M19" s="116" t="s">
        <v>16</v>
      </c>
      <c r="N19" s="115" t="s">
        <v>54</v>
      </c>
      <c r="O19" s="114"/>
      <c r="P19" s="115" t="s">
        <v>16</v>
      </c>
      <c r="Q19" s="116" t="s">
        <v>39</v>
      </c>
      <c r="R19" s="115" t="s">
        <v>4</v>
      </c>
    </row>
    <row r="20" spans="1:18" x14ac:dyDescent="0.2">
      <c r="A20" s="3" t="s">
        <v>55</v>
      </c>
      <c r="B20" s="1" t="s">
        <v>46</v>
      </c>
      <c r="C20" s="16"/>
      <c r="D20" s="16"/>
      <c r="E20" s="16"/>
      <c r="F20" s="16"/>
      <c r="G20" s="16"/>
      <c r="H20" s="16"/>
      <c r="I20" s="53">
        <f>357*1.15</f>
        <v>410.54999999999995</v>
      </c>
      <c r="J20" s="18">
        <f>(P20/1000000)/I20</f>
        <v>1.0981366459627331</v>
      </c>
      <c r="K20" s="54">
        <v>32.700000000000003</v>
      </c>
      <c r="L20" s="18">
        <f>(P20/1000000)/K20</f>
        <v>13.78715596330275</v>
      </c>
      <c r="M20" s="54">
        <v>22.1</v>
      </c>
      <c r="N20" s="42">
        <v>17</v>
      </c>
      <c r="O20" s="32">
        <v>0.2</v>
      </c>
      <c r="P20" s="92">
        <f>(1+O20)*N20*M20*1000000</f>
        <v>450840000</v>
      </c>
      <c r="Q20" s="17">
        <f t="shared" ref="Q20:Q28" si="7">P20/(1000000*I20)</f>
        <v>1.0981366459627331</v>
      </c>
      <c r="R20" s="18">
        <f t="shared" ref="R20:R28" si="8">P20/(1000000*K20)</f>
        <v>13.78715596330275</v>
      </c>
    </row>
    <row r="21" spans="1:18" x14ac:dyDescent="0.2">
      <c r="A21" s="3" t="s">
        <v>56</v>
      </c>
      <c r="B21" s="40" t="s">
        <v>47</v>
      </c>
      <c r="C21" s="8"/>
      <c r="D21" s="8"/>
      <c r="E21" s="8"/>
      <c r="F21" s="8"/>
      <c r="G21" s="8"/>
      <c r="H21" s="8"/>
      <c r="I21" s="45">
        <v>120</v>
      </c>
      <c r="J21" s="7">
        <f>(P21/1000000)/I21</f>
        <v>2.8665000000000003</v>
      </c>
      <c r="K21" s="41">
        <f>15%*I21</f>
        <v>18</v>
      </c>
      <c r="L21" s="7">
        <f>(P21/1000000)/K21</f>
        <v>19.11</v>
      </c>
      <c r="M21" s="15">
        <f t="shared" ref="M21:M28" si="9">0.7*K21</f>
        <v>12.6</v>
      </c>
      <c r="N21" s="43">
        <v>21</v>
      </c>
      <c r="O21" s="39">
        <v>0.3</v>
      </c>
      <c r="P21" s="44">
        <f>(1+O21)*N21*M21*1000000</f>
        <v>343980000</v>
      </c>
      <c r="Q21" s="10">
        <f t="shared" si="7"/>
        <v>2.8664999999999998</v>
      </c>
      <c r="R21" s="7">
        <f t="shared" si="8"/>
        <v>19.11</v>
      </c>
    </row>
    <row r="22" spans="1:18" x14ac:dyDescent="0.2">
      <c r="A22" s="3" t="s">
        <v>57</v>
      </c>
      <c r="B22" s="3" t="s">
        <v>45</v>
      </c>
      <c r="C22" s="35">
        <f>16.42*1.29</f>
        <v>21.181800000000003</v>
      </c>
      <c r="D22" s="35"/>
      <c r="E22" s="35">
        <f>1.26*1.65</f>
        <v>2.0789999999999997</v>
      </c>
      <c r="F22" s="35">
        <f>C22/E22</f>
        <v>10.18845598845599</v>
      </c>
      <c r="G22" s="36"/>
      <c r="H22" s="37"/>
      <c r="I22" s="45">
        <f>400*150000/1000000</f>
        <v>60</v>
      </c>
      <c r="J22" s="7">
        <f>(P22/1000000)/I22</f>
        <v>1.2837454545454545</v>
      </c>
      <c r="K22" s="41">
        <f>15%*I22</f>
        <v>9</v>
      </c>
      <c r="L22" s="7">
        <f>(P22/1000000)/K22</f>
        <v>8.5583030303030299</v>
      </c>
      <c r="M22" s="15">
        <f t="shared" si="9"/>
        <v>6.3</v>
      </c>
      <c r="N22" s="38">
        <f>F22</f>
        <v>10.18845598845599</v>
      </c>
      <c r="O22" s="39">
        <v>0.2</v>
      </c>
      <c r="P22" s="44">
        <f>(1+O22)*N22*M22*1000000</f>
        <v>77024727.272727281</v>
      </c>
      <c r="Q22" s="10">
        <f t="shared" si="7"/>
        <v>1.2837454545454547</v>
      </c>
      <c r="R22" s="7">
        <f t="shared" si="8"/>
        <v>8.5583030303030316</v>
      </c>
    </row>
    <row r="23" spans="1:18" x14ac:dyDescent="0.2">
      <c r="A23" s="3" t="s">
        <v>58</v>
      </c>
      <c r="B23" s="3" t="s">
        <v>35</v>
      </c>
      <c r="C23" s="8"/>
      <c r="D23" s="8"/>
      <c r="E23" s="8"/>
      <c r="F23" s="8"/>
      <c r="G23" s="8"/>
      <c r="H23" s="49"/>
      <c r="I23" s="55">
        <v>60</v>
      </c>
      <c r="J23" s="7">
        <f>P23/(1000000*I23)</f>
        <v>2.5</v>
      </c>
      <c r="K23" s="56">
        <v>12</v>
      </c>
      <c r="L23" s="46">
        <f>P23/(1000000*K23)</f>
        <v>12.5</v>
      </c>
      <c r="M23" s="10">
        <f t="shared" si="9"/>
        <v>8.3999999999999986</v>
      </c>
      <c r="N23" s="33">
        <f>P23/(1000000*M23)</f>
        <v>17.857142857142861</v>
      </c>
      <c r="O23" s="8"/>
      <c r="P23" s="31">
        <v>150000000</v>
      </c>
      <c r="Q23" s="10">
        <f t="shared" si="7"/>
        <v>2.5</v>
      </c>
      <c r="R23" s="7">
        <f t="shared" si="8"/>
        <v>12.5</v>
      </c>
    </row>
    <row r="24" spans="1:18" x14ac:dyDescent="0.2">
      <c r="A24" s="3" t="s">
        <v>59</v>
      </c>
      <c r="B24" s="3" t="s">
        <v>44</v>
      </c>
      <c r="C24" s="8"/>
      <c r="D24" s="8"/>
      <c r="E24" s="8"/>
      <c r="F24" s="8"/>
      <c r="G24" s="8"/>
      <c r="H24" s="49"/>
      <c r="I24" s="55">
        <v>50</v>
      </c>
      <c r="J24" s="7">
        <f>(P24/1000000)/I24</f>
        <v>1.5</v>
      </c>
      <c r="K24" s="15">
        <f>15%*I24</f>
        <v>7.5</v>
      </c>
      <c r="L24" s="57">
        <v>10</v>
      </c>
      <c r="M24" s="10">
        <f t="shared" si="9"/>
        <v>5.25</v>
      </c>
      <c r="N24" s="33">
        <f>(P24/1000000)/M24</f>
        <v>14.285714285714286</v>
      </c>
      <c r="O24" s="8"/>
      <c r="P24" s="25">
        <f>L24*K24*1000000</f>
        <v>75000000</v>
      </c>
      <c r="Q24" s="10">
        <f t="shared" si="7"/>
        <v>1.5</v>
      </c>
      <c r="R24" s="7">
        <f t="shared" si="8"/>
        <v>10</v>
      </c>
    </row>
    <row r="25" spans="1:18" x14ac:dyDescent="0.2">
      <c r="A25" s="3" t="s">
        <v>60</v>
      </c>
      <c r="B25" s="3" t="s">
        <v>48</v>
      </c>
      <c r="C25" s="8"/>
      <c r="D25" s="8"/>
      <c r="E25" s="8"/>
      <c r="F25" s="8"/>
      <c r="G25" s="8"/>
      <c r="H25" s="49"/>
      <c r="I25" s="55">
        <v>40</v>
      </c>
      <c r="J25" s="7">
        <f>(P25/1000000)/I25</f>
        <v>0.75</v>
      </c>
      <c r="K25" s="15">
        <v>4.5</v>
      </c>
      <c r="L25" s="46">
        <f>P25/(1000000*K25)</f>
        <v>6.666666666666667</v>
      </c>
      <c r="M25" s="10">
        <f t="shared" si="9"/>
        <v>3.15</v>
      </c>
      <c r="N25" s="33">
        <f>(P25/1000000)/M25</f>
        <v>9.5238095238095237</v>
      </c>
      <c r="O25" s="8"/>
      <c r="P25" s="31">
        <v>30000000</v>
      </c>
      <c r="Q25" s="10">
        <f t="shared" si="7"/>
        <v>0.75</v>
      </c>
      <c r="R25" s="7">
        <f t="shared" si="8"/>
        <v>6.666666666666667</v>
      </c>
    </row>
    <row r="26" spans="1:18" x14ac:dyDescent="0.2">
      <c r="A26" s="3" t="s">
        <v>61</v>
      </c>
      <c r="B26" s="3" t="s">
        <v>34</v>
      </c>
      <c r="C26" s="8"/>
      <c r="D26" s="8"/>
      <c r="E26" s="8"/>
      <c r="F26" s="8"/>
      <c r="G26" s="8"/>
      <c r="H26" s="49"/>
      <c r="I26" s="55">
        <v>35</v>
      </c>
      <c r="J26" s="7">
        <f>(P26/1000000)/I26</f>
        <v>1.35</v>
      </c>
      <c r="K26" s="15">
        <f>15%*I26</f>
        <v>5.25</v>
      </c>
      <c r="L26" s="57">
        <v>9</v>
      </c>
      <c r="M26" s="10">
        <f t="shared" si="9"/>
        <v>3.6749999999999998</v>
      </c>
      <c r="N26" s="33">
        <f>(P26/1000000)/M26</f>
        <v>12.857142857142858</v>
      </c>
      <c r="O26" s="8"/>
      <c r="P26" s="25">
        <f>L26*K26*1000000</f>
        <v>47250000</v>
      </c>
      <c r="Q26" s="10">
        <f t="shared" si="7"/>
        <v>1.35</v>
      </c>
      <c r="R26" s="7">
        <f t="shared" si="8"/>
        <v>9</v>
      </c>
    </row>
    <row r="27" spans="1:18" x14ac:dyDescent="0.2">
      <c r="A27" s="3" t="s">
        <v>62</v>
      </c>
      <c r="B27" s="3" t="s">
        <v>37</v>
      </c>
      <c r="C27" s="8"/>
      <c r="D27" s="8"/>
      <c r="E27" s="8"/>
      <c r="F27" s="8"/>
      <c r="G27" s="8"/>
      <c r="H27" s="49"/>
      <c r="I27" s="55">
        <v>25</v>
      </c>
      <c r="J27" s="7">
        <f>(P27/1000000)/I27</f>
        <v>1.5</v>
      </c>
      <c r="K27" s="15">
        <f>15%*I27</f>
        <v>3.75</v>
      </c>
      <c r="L27" s="46">
        <v>10</v>
      </c>
      <c r="M27" s="10">
        <f t="shared" si="9"/>
        <v>2.625</v>
      </c>
      <c r="N27" s="33">
        <f>(P27/1000000)/M27</f>
        <v>14.285714285714286</v>
      </c>
      <c r="O27" s="8"/>
      <c r="P27" s="25">
        <f>K27*L27*1000000</f>
        <v>37500000</v>
      </c>
      <c r="Q27" s="10">
        <f t="shared" si="7"/>
        <v>1.5</v>
      </c>
      <c r="R27" s="7">
        <f t="shared" si="8"/>
        <v>10</v>
      </c>
    </row>
    <row r="28" spans="1:18" x14ac:dyDescent="0.2">
      <c r="A28" s="5" t="s">
        <v>63</v>
      </c>
      <c r="B28" s="5" t="s">
        <v>36</v>
      </c>
      <c r="C28" s="9"/>
      <c r="D28" s="9"/>
      <c r="E28" s="9"/>
      <c r="F28" s="9"/>
      <c r="G28" s="9"/>
      <c r="H28" s="52"/>
      <c r="I28" s="58">
        <v>15</v>
      </c>
      <c r="J28" s="12">
        <f>(P28/1000000)/I28</f>
        <v>1.2</v>
      </c>
      <c r="K28" s="26">
        <f>15%*I28</f>
        <v>2.25</v>
      </c>
      <c r="L28" s="51">
        <f>P28/(1000000*K28)</f>
        <v>8</v>
      </c>
      <c r="M28" s="19">
        <f t="shared" si="9"/>
        <v>1.575</v>
      </c>
      <c r="N28" s="34">
        <f>(P28/1000000)/M28</f>
        <v>11.428571428571429</v>
      </c>
      <c r="O28" s="9"/>
      <c r="P28" s="27">
        <v>18000000</v>
      </c>
      <c r="Q28" s="19">
        <f t="shared" si="7"/>
        <v>1.2</v>
      </c>
      <c r="R28" s="12">
        <f t="shared" si="8"/>
        <v>8</v>
      </c>
    </row>
    <row r="30" spans="1:18" x14ac:dyDescent="0.2">
      <c r="H30" s="127"/>
    </row>
    <row r="31" spans="1:18" x14ac:dyDescent="0.2">
      <c r="A31" s="102"/>
      <c r="B31" s="105" t="s">
        <v>73</v>
      </c>
      <c r="C31" s="107"/>
      <c r="D31" s="103"/>
      <c r="H31" s="127"/>
    </row>
    <row r="32" spans="1:18" x14ac:dyDescent="0.2">
      <c r="A32" s="83" t="s">
        <v>70</v>
      </c>
      <c r="B32" s="1" t="s">
        <v>41</v>
      </c>
      <c r="C32" s="99" t="s">
        <v>67</v>
      </c>
      <c r="D32" s="2"/>
      <c r="H32" s="127"/>
    </row>
    <row r="33" spans="1:15" x14ac:dyDescent="0.2">
      <c r="A33" s="83" t="s">
        <v>71</v>
      </c>
      <c r="B33" s="3" t="s">
        <v>42</v>
      </c>
      <c r="C33" s="98" t="s">
        <v>68</v>
      </c>
      <c r="D33" s="4"/>
      <c r="H33" s="127"/>
    </row>
    <row r="34" spans="1:15" x14ac:dyDescent="0.2">
      <c r="A34" s="101" t="s">
        <v>72</v>
      </c>
      <c r="B34" s="5" t="s">
        <v>43</v>
      </c>
      <c r="C34" s="100" t="s">
        <v>69</v>
      </c>
      <c r="D34" s="6"/>
      <c r="H34" s="127"/>
    </row>
    <row r="35" spans="1:15" x14ac:dyDescent="0.2">
      <c r="B35" s="11"/>
      <c r="C35" s="11"/>
      <c r="D35" s="11"/>
      <c r="E35" s="11"/>
      <c r="F35" s="11"/>
      <c r="G35" s="11"/>
      <c r="H35" s="127"/>
      <c r="I35" s="11"/>
      <c r="J35" s="11"/>
      <c r="K35" s="11"/>
      <c r="L35" s="11"/>
      <c r="M35" s="11"/>
      <c r="N35" s="11"/>
      <c r="O35" s="11"/>
    </row>
    <row r="36" spans="1:15" x14ac:dyDescent="0.2">
      <c r="B36" s="11"/>
      <c r="C36" s="11"/>
      <c r="D36" s="11"/>
      <c r="E36" s="11"/>
      <c r="F36" s="11"/>
      <c r="G36" s="11"/>
      <c r="H36" s="127"/>
      <c r="I36" s="11"/>
      <c r="J36" s="11"/>
      <c r="K36" s="11"/>
      <c r="L36" s="11"/>
      <c r="M36" s="11"/>
      <c r="N36" s="11"/>
      <c r="O36" s="11"/>
    </row>
    <row r="37" spans="1:15" x14ac:dyDescent="0.2">
      <c r="B37" s="11"/>
      <c r="C37" s="11"/>
      <c r="D37" s="93"/>
      <c r="E37" s="93"/>
      <c r="F37" s="93"/>
      <c r="G37" s="93"/>
      <c r="H37" s="127"/>
      <c r="I37" s="93"/>
      <c r="J37" s="94"/>
      <c r="K37" s="93"/>
      <c r="L37" s="93"/>
      <c r="M37" s="11"/>
      <c r="N37" s="11"/>
      <c r="O37" s="11"/>
    </row>
    <row r="38" spans="1:15" x14ac:dyDescent="0.2">
      <c r="B38" s="11"/>
      <c r="C38" s="11"/>
      <c r="D38" s="93"/>
      <c r="E38" s="93"/>
      <c r="F38" s="93"/>
      <c r="G38" s="93"/>
      <c r="H38" s="127"/>
      <c r="I38" s="93"/>
      <c r="J38" s="93"/>
      <c r="K38" s="93"/>
      <c r="L38" s="93"/>
      <c r="M38" s="11"/>
      <c r="N38" s="11"/>
      <c r="O38" s="11"/>
    </row>
    <row r="39" spans="1:15" x14ac:dyDescent="0.2">
      <c r="B39" s="11"/>
      <c r="C39" s="65"/>
      <c r="D39" s="14"/>
      <c r="E39" s="76"/>
      <c r="F39" s="14"/>
      <c r="G39" s="76"/>
      <c r="H39" s="128"/>
      <c r="I39" s="11"/>
      <c r="J39" s="95"/>
      <c r="K39" s="76"/>
      <c r="L39" s="76"/>
      <c r="M39" s="11"/>
      <c r="N39" s="11"/>
      <c r="O39" s="11"/>
    </row>
    <row r="40" spans="1:15" x14ac:dyDescent="0.2">
      <c r="B40" s="11"/>
      <c r="C40" s="65"/>
      <c r="D40" s="14"/>
      <c r="E40" s="76"/>
      <c r="F40" s="14"/>
      <c r="G40" s="76"/>
      <c r="H40" s="127"/>
      <c r="I40" s="11"/>
      <c r="J40" s="95"/>
      <c r="K40" s="76"/>
      <c r="L40" s="76"/>
      <c r="M40" s="11"/>
      <c r="N40" s="11"/>
      <c r="O40" s="11"/>
    </row>
    <row r="41" spans="1:15" x14ac:dyDescent="0.2">
      <c r="B41" s="11"/>
      <c r="C41" s="65"/>
      <c r="D41" s="14"/>
      <c r="E41" s="76"/>
      <c r="F41" s="14"/>
      <c r="G41" s="76"/>
      <c r="H41" s="127"/>
      <c r="I41" s="96"/>
      <c r="J41" s="95"/>
      <c r="K41" s="76"/>
      <c r="L41" s="76"/>
      <c r="M41" s="11"/>
      <c r="N41" s="11"/>
      <c r="O41" s="11"/>
    </row>
    <row r="42" spans="1:15" x14ac:dyDescent="0.2">
      <c r="B42" s="11"/>
      <c r="C42" s="65"/>
      <c r="D42" s="14"/>
      <c r="E42" s="76"/>
      <c r="F42" s="14"/>
      <c r="G42" s="13"/>
      <c r="H42" s="14"/>
      <c r="I42" s="97"/>
      <c r="J42" s="95"/>
      <c r="K42" s="76"/>
      <c r="L42" s="76"/>
      <c r="M42" s="11"/>
      <c r="N42" s="11"/>
      <c r="O42" s="11"/>
    </row>
    <row r="43" spans="1:15" x14ac:dyDescent="0.2">
      <c r="B43" s="11"/>
      <c r="C43" s="65"/>
      <c r="D43" s="14"/>
      <c r="E43" s="76"/>
      <c r="F43" s="14"/>
      <c r="G43" s="13"/>
      <c r="H43" s="14"/>
      <c r="I43" s="97"/>
      <c r="J43" s="95"/>
      <c r="K43" s="76"/>
      <c r="L43" s="76"/>
      <c r="M43" s="11"/>
      <c r="N43" s="11"/>
      <c r="O43" s="11"/>
    </row>
    <row r="44" spans="1:15" x14ac:dyDescent="0.2">
      <c r="B44" s="11"/>
      <c r="C44" s="65"/>
      <c r="D44" s="14"/>
      <c r="E44" s="76"/>
      <c r="F44" s="14"/>
      <c r="G44" s="13"/>
      <c r="H44" s="14"/>
      <c r="I44" s="97"/>
      <c r="J44" s="95"/>
      <c r="K44" s="76"/>
      <c r="L44" s="76"/>
      <c r="M44" s="11"/>
      <c r="N44" s="11"/>
      <c r="O44" s="11"/>
    </row>
    <row r="45" spans="1:15" x14ac:dyDescent="0.2">
      <c r="B45" s="11"/>
      <c r="C45" s="65"/>
      <c r="D45" s="14"/>
      <c r="E45" s="76"/>
      <c r="F45" s="14"/>
      <c r="G45" s="13"/>
      <c r="H45" s="14"/>
      <c r="I45" s="97"/>
      <c r="J45" s="95"/>
      <c r="K45" s="76"/>
      <c r="L45" s="76"/>
      <c r="M45" s="11"/>
      <c r="N45" s="11"/>
      <c r="O45" s="11"/>
    </row>
    <row r="46" spans="1:15" x14ac:dyDescent="0.2">
      <c r="B46" s="11"/>
      <c r="C46" s="65"/>
      <c r="D46" s="14"/>
      <c r="E46" s="76"/>
      <c r="F46" s="14"/>
      <c r="G46" s="13"/>
      <c r="H46" s="14"/>
      <c r="I46" s="97"/>
      <c r="J46" s="95"/>
      <c r="K46" s="76"/>
      <c r="L46" s="76"/>
      <c r="M46" s="11"/>
      <c r="N46" s="11"/>
      <c r="O46" s="11"/>
    </row>
    <row r="47" spans="1:15" x14ac:dyDescent="0.2">
      <c r="B47" s="11"/>
      <c r="C47" s="65"/>
      <c r="D47" s="14"/>
      <c r="E47" s="76"/>
      <c r="F47" s="14"/>
      <c r="G47" s="13"/>
      <c r="H47" s="14"/>
      <c r="I47" s="97"/>
      <c r="J47" s="95"/>
      <c r="K47" s="76"/>
      <c r="L47" s="76"/>
      <c r="M47" s="11"/>
      <c r="N47" s="11"/>
      <c r="O47" s="11"/>
    </row>
    <row r="48" spans="1:15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2:15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2:15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phoneticPr fontId="2" type="noConversion"/>
  <pageMargins left="0.75" right="0.75" top="1" bottom="1" header="0.5" footer="0.5"/>
  <pageSetup paperSize="9" scale="74" orientation="landscape" r:id="rId1"/>
  <headerFooter alignWithMargins="0">
    <oddHeader>&amp;L&amp;"Arial,Bold"&amp;8Valuation Analysis - Public &amp; Private Comprarables
Sample circa 2007&amp;R&amp;G</oddHeader>
    <oddFooter>&amp;L&amp;"Arial,Bold"&amp;8Example Only - Not for Circulation&amp;C&amp;"Arial,Bold"&amp;8Page &amp;P/&amp;N
Printed &amp;D&amp;R&amp;"Arial,Bold"&amp;8&amp;F /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ICT &amp; Telco Valuations</vt:lpstr>
    </vt:vector>
  </TitlesOfParts>
  <Company>ICT Strategic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Sample: Public &amp; Private Valuation Comparables</dc:title>
  <dc:subject>Public Valuations of Comparable ICT and Telco Companies</dc:subject>
  <dc:creator>Dr Paul D Hauck, Principal, ICT Strategic Consulting</dc:creator>
  <cp:keywords>ICT Strategic Acquisition ERP Software Implementation Integration Vendor SME Australia</cp:keywords>
  <cp:lastModifiedBy>Paul D Hauck</cp:lastModifiedBy>
  <cp:lastPrinted>2011-11-02T13:09:04Z</cp:lastPrinted>
  <dcterms:created xsi:type="dcterms:W3CDTF">2006-11-14T22:39:27Z</dcterms:created>
  <dcterms:modified xsi:type="dcterms:W3CDTF">2017-05-30T06:54:30Z</dcterms:modified>
  <cp:category>Valuation Analysis</cp:category>
  <cp:contentStatus>Redacted</cp:contentStatus>
</cp:coreProperties>
</file>